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4840" windowHeight="15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<sst xmlns="http://schemas.openxmlformats.org/spreadsheetml/2006/main" count="65" uniqueCount="40">
  <si>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Remaining is (Io/overall absorption)*(1 - exp(-overall absorption*depth))*(absorption of only HOCl/OCl-)</t>
  </si>
  <si>
    <t>Area of pool (sq. ft.)</t>
  </si>
  <si>
    <t>ppm Chlorine equiv. of photons per minute per nm</t>
  </si>
  <si>
    <t>We want to integrate over depth the intensity that is a function of depth based on total extinction times the loss over that delta depth which will be one minus the molar extinction times molarity and delta depth and intensity</t>
  </si>
  <si>
    <t>Integrate Io*exp(-overall absorption*d)*(absorption of only HOCl/OCl-)*(delta depth) from 0 to final depth</t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</si>
  <si>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and water at 4.5 feet Net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</si>
  <si>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0.05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and water at 4.5 feet Net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</si>
  <si>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6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at 4.5 feet Net</t>
    </r>
  </si>
  <si>
    <t>ppm Chlorine equiv. of photons per minute in 1 cm</t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</si>
  <si>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at 1 cm Net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</si>
  <si>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at 10 feet Net</t>
    </r>
  </si>
  <si>
    <t>ppm Chlorine equiv. of photons per minute in 10 feet</t>
  </si>
  <si>
    <t>Wavelength (nm)</t>
  </si>
  <si>
    <r>
      <t>Sun Irradiance (W/cm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-nm)</t>
    </r>
  </si>
  <si>
    <r>
      <t>Water Absorption (cm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</si>
  <si>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HOCl Molar Extinction (M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cm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</si>
  <si>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Molar Extinction</t>
    </r>
    <r>
      <rPr>
        <sz val="10"/>
        <rFont val="Verdana"/>
        <family val="0"/>
      </rPr>
      <t xml:space="preserve"> (M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cm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</si>
  <si>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CYA Molar Extinction (M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cm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</si>
  <si>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t>Energy of 1 mole of photons (J/mole)</t>
  </si>
  <si>
    <r>
      <t>Moles of photons per minute (mole/min-cm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-nm)</t>
    </r>
  </si>
  <si>
    <r>
      <t>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Molar Extinction</t>
    </r>
    <r>
      <rPr>
        <sz val="10"/>
        <rFont val="Verdana"/>
        <family val="0"/>
      </rPr>
      <t xml:space="preserve"> (ppm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</si>
  <si>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t>ppm Chlorine equiv. of photons per minute in 4.5 feet</t>
  </si>
  <si>
    <t>Total</t>
  </si>
  <si>
    <r>
      <t>Watts/m</t>
    </r>
    <r>
      <rPr>
        <vertAlign val="superscript"/>
        <sz val="10"/>
        <rFont val="Verdana"/>
        <family val="0"/>
      </rPr>
      <t>2</t>
    </r>
  </si>
  <si>
    <t>min ppm where at least 50% photons absorbed in 6 feet</t>
  </si>
  <si>
    <r>
      <t>Water Absorption (ft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</si>
  <si>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at 4.5 feet Net</t>
    </r>
  </si>
  <si>
    <t>ppm/hr</t>
  </si>
  <si>
    <r>
      <t>CYA Absorption at 30 ppm (ft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</si>
  <si>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CYA Absorption at 80 ppm (ft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</si>
  <si>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HOCl Molar Absorption</t>
    </r>
    <r>
      <rPr>
        <sz val="10"/>
        <rFont val="Verdana"/>
        <family val="0"/>
      </rPr>
      <t xml:space="preserve"> (ppm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</si>
  <si>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CYA Molar Absorption</t>
    </r>
    <r>
      <rPr>
        <sz val="10"/>
        <rFont val="Verdana"/>
        <family val="0"/>
      </rPr>
      <t xml:space="preserve"> (ppm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ft</t>
    </r>
    <r>
      <rPr>
        <vertAlign val="superscript"/>
        <sz val="10"/>
        <rFont val="Verdana"/>
        <family val="0"/>
      </rPr>
      <t>-1</t>
    </r>
    <r>
      <rPr>
        <sz val="10"/>
        <rFont val="Verdana"/>
        <family val="0"/>
      </rPr>
      <t>)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</si>
  <si>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0.05 ppm each HOCl and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at 4.5 feet Net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</si>
  <si>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HOCl only at 1 cm Net</t>
    </r>
  </si>
  <si>
    <r>
      <t>I/I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from 3 ppm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only at 1 cm Net</t>
    </r>
  </si>
  <si>
    <t>h:mm half-life</t>
  </si>
  <si>
    <t>h:mm half-life if no CYA</t>
  </si>
  <si>
    <t>Free Chlorine (ppm)</t>
  </si>
  <si>
    <t>CYA (ppm)</t>
  </si>
  <si>
    <t>Depth (ft.)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</si>
</sst>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workbookViewId="0" topLeftCell="A16">
      <selection activeCell="B51" sqref="B51"/>
    </sheetView>
  </sheetViews>
  <sheetFormatPr defaultColWidth="11.00390625" defaultRowHeight="12.75"/>
  <cols>
    <col min="1" max="1" width="49.375" style="0" customWidth="1"/>
  </cols>
  <sheetData>
    <row r="2" spans="2:10" ht="12.75">
      <c r="B2" s="9" t="s">
        <v>12</v>
      </c>
      <c r="C2" s="9"/>
      <c r="D2" s="9"/>
      <c r="E2" s="9"/>
      <c r="F2" s="9"/>
      <c r="G2" s="9"/>
      <c r="H2" s="9"/>
      <c r="I2" s="9"/>
      <c r="J2" s="9"/>
    </row>
    <row r="3" spans="2:12" s="1" customFormat="1" ht="12.75">
      <c r="B3" s="1">
        <v>290</v>
      </c>
      <c r="C3" s="1">
        <v>300</v>
      </c>
      <c r="D3" s="1">
        <v>310</v>
      </c>
      <c r="E3" s="1">
        <v>320</v>
      </c>
      <c r="F3" s="1">
        <v>330</v>
      </c>
      <c r="G3" s="1">
        <v>340</v>
      </c>
      <c r="H3" s="1">
        <v>350</v>
      </c>
      <c r="I3" s="1">
        <v>360</v>
      </c>
      <c r="J3" s="1">
        <v>370</v>
      </c>
      <c r="K3" s="1">
        <v>380</v>
      </c>
      <c r="L3" s="7" t="s">
        <v>22</v>
      </c>
    </row>
    <row r="5" spans="1:13" ht="15">
      <c r="A5" t="s">
        <v>13</v>
      </c>
      <c r="B5" s="2">
        <v>3E-10</v>
      </c>
      <c r="C5" s="2">
        <v>2E-07</v>
      </c>
      <c r="D5" s="2">
        <v>3E-06</v>
      </c>
      <c r="E5" s="2">
        <v>1.5E-05</v>
      </c>
      <c r="F5" s="2">
        <v>2.5E-05</v>
      </c>
      <c r="G5" s="2">
        <v>2.7E-05</v>
      </c>
      <c r="H5" s="2">
        <v>3E-05</v>
      </c>
      <c r="I5" s="2">
        <v>3E-05</v>
      </c>
      <c r="J5" s="2">
        <v>4E-05</v>
      </c>
      <c r="K5" s="2">
        <v>3E-05</v>
      </c>
      <c r="L5" s="4">
        <f>100*100*10*SUM(B5:K5)</f>
        <v>20.02003</v>
      </c>
      <c r="M5" s="5" t="s">
        <v>23</v>
      </c>
    </row>
    <row r="6" spans="1:11" ht="12.75">
      <c r="A6" t="s">
        <v>18</v>
      </c>
      <c r="B6" s="3">
        <f>6.02214179E+23*6.626068E-34*299792458/(B$3*0.000000001)</f>
        <v>412505.33545912587</v>
      </c>
      <c r="C6" s="3">
        <f aca="true" t="shared" si="0" ref="C6:K6">6.02214179E+23*6.626068E-34*299792458/(C$3*0.000000001)</f>
        <v>398755.1576104883</v>
      </c>
      <c r="D6" s="3">
        <f t="shared" si="0"/>
        <v>385892.08801015</v>
      </c>
      <c r="E6" s="3">
        <f t="shared" si="0"/>
        <v>373832.96025983285</v>
      </c>
      <c r="F6" s="3">
        <f t="shared" si="0"/>
        <v>362504.68873680755</v>
      </c>
      <c r="G6" s="3">
        <f t="shared" si="0"/>
        <v>351842.78612690145</v>
      </c>
      <c r="H6" s="3">
        <f t="shared" si="0"/>
        <v>341790.1350947043</v>
      </c>
      <c r="I6" s="3">
        <f t="shared" si="0"/>
        <v>332295.9646754069</v>
      </c>
      <c r="J6" s="3">
        <f t="shared" si="0"/>
        <v>323314.9926571527</v>
      </c>
      <c r="K6" s="3">
        <f t="shared" si="0"/>
        <v>314806.70337670133</v>
      </c>
    </row>
    <row r="7" spans="1:11" ht="15">
      <c r="A7" t="s">
        <v>19</v>
      </c>
      <c r="B7" s="2">
        <f>(B$5/B$6)*60</f>
        <v>4.363579923145885E-14</v>
      </c>
      <c r="C7" s="2">
        <f aca="true" t="shared" si="1" ref="C7:K7">(C$5/C$6)*60</f>
        <v>3.009365464238541E-11</v>
      </c>
      <c r="D7" s="2">
        <f t="shared" si="1"/>
        <v>4.664516469569739E-10</v>
      </c>
      <c r="E7" s="2">
        <f t="shared" si="1"/>
        <v>2.407492371390833E-09</v>
      </c>
      <c r="F7" s="2">
        <f t="shared" si="1"/>
        <v>4.137877513327995E-09</v>
      </c>
      <c r="G7" s="2">
        <f t="shared" si="1"/>
        <v>4.604329160284969E-09</v>
      </c>
      <c r="H7" s="2">
        <f t="shared" si="1"/>
        <v>5.2663895624174475E-09</v>
      </c>
      <c r="I7" s="2">
        <f t="shared" si="1"/>
        <v>5.416857835629375E-09</v>
      </c>
      <c r="J7" s="2">
        <f t="shared" si="1"/>
        <v>7.42310147845507E-09</v>
      </c>
      <c r="K7" s="2">
        <f t="shared" si="1"/>
        <v>5.717794382053229E-09</v>
      </c>
    </row>
    <row r="8" spans="1:13" ht="12.75">
      <c r="A8" t="s">
        <v>11</v>
      </c>
      <c r="B8" s="2">
        <f>1000*70.906*B$7*(1000/(10*12*2.54))</f>
        <v>1.0151049804152957E-08</v>
      </c>
      <c r="C8" s="2">
        <f aca="true" t="shared" si="2" ref="C8:K8">1000*70.906*C$7*(1000/(10*12*2.54))</f>
        <v>7.0007240028641085E-06</v>
      </c>
      <c r="D8" s="2">
        <f t="shared" si="2"/>
        <v>0.0001085112220443937</v>
      </c>
      <c r="E8" s="2">
        <f t="shared" si="2"/>
        <v>0.0005600579202291287</v>
      </c>
      <c r="F8" s="2">
        <f t="shared" si="2"/>
        <v>0.000962599550393815</v>
      </c>
      <c r="G8" s="2">
        <f t="shared" si="2"/>
        <v>0.0010711107724382086</v>
      </c>
      <c r="H8" s="2">
        <f t="shared" si="2"/>
        <v>0.0012251267005012189</v>
      </c>
      <c r="I8" s="2">
        <f t="shared" si="2"/>
        <v>0.0012601303205155396</v>
      </c>
      <c r="J8" s="2">
        <f t="shared" si="2"/>
        <v>0.0017268452540398136</v>
      </c>
      <c r="K8" s="2">
        <f t="shared" si="2"/>
        <v>0.0013301375605441806</v>
      </c>
      <c r="L8" s="4">
        <f>10*(SUM(B8:K8))*60</f>
        <v>4.95091810545538</v>
      </c>
      <c r="M8" t="s">
        <v>27</v>
      </c>
    </row>
    <row r="9" spans="1:13" ht="12.75">
      <c r="A9" t="s">
        <v>21</v>
      </c>
      <c r="B9" s="2">
        <f>1000*70.906*B$7*(1000/(4.5*12*2.54))</f>
        <v>2.255788845367324E-08</v>
      </c>
      <c r="C9" s="2">
        <f aca="true" t="shared" si="3" ref="C9:K9">1000*70.906*C$7*(1000/(4.5*12*2.54))</f>
        <v>1.555716445080913E-05</v>
      </c>
      <c r="D9" s="2">
        <f t="shared" si="3"/>
        <v>0.00024113604898754154</v>
      </c>
      <c r="E9" s="2">
        <f t="shared" si="3"/>
        <v>0.0012445731560647305</v>
      </c>
      <c r="F9" s="2">
        <f t="shared" si="3"/>
        <v>0.0021391101119862554</v>
      </c>
      <c r="G9" s="2">
        <f t="shared" si="3"/>
        <v>0.0023802461609737967</v>
      </c>
      <c r="H9" s="2">
        <f t="shared" si="3"/>
        <v>0.0027225037788915977</v>
      </c>
      <c r="I9" s="2">
        <f t="shared" si="3"/>
        <v>0.0028002896011456433</v>
      </c>
      <c r="J9" s="2">
        <f t="shared" si="3"/>
        <v>0.003837433897866252</v>
      </c>
      <c r="K9" s="2">
        <f t="shared" si="3"/>
        <v>0.002955861245653735</v>
      </c>
      <c r="L9" s="4">
        <f>10*(SUM(B9:K9))*60</f>
        <v>11.002040234345287</v>
      </c>
      <c r="M9" t="s">
        <v>27</v>
      </c>
    </row>
    <row r="10" spans="1:13" ht="12.75">
      <c r="A10" t="s">
        <v>8</v>
      </c>
      <c r="B10" s="2">
        <f>1000*70.906*B$7*(1000)</f>
        <v>3.0940399803058214E-06</v>
      </c>
      <c r="C10" s="2">
        <f aca="true" t="shared" si="4" ref="C10:K10">1000*70.906*C$7*(1000)</f>
        <v>0.0021338206760729804</v>
      </c>
      <c r="D10" s="2">
        <f t="shared" si="4"/>
        <v>0.033074220479131194</v>
      </c>
      <c r="E10" s="2">
        <f t="shared" si="4"/>
        <v>0.1707056540858384</v>
      </c>
      <c r="F10" s="2">
        <f t="shared" si="4"/>
        <v>0.2934003429600348</v>
      </c>
      <c r="G10" s="2">
        <f t="shared" si="4"/>
        <v>0.326474563439166</v>
      </c>
      <c r="H10" s="2">
        <f t="shared" si="4"/>
        <v>0.3734186183127715</v>
      </c>
      <c r="I10" s="2">
        <f t="shared" si="4"/>
        <v>0.38408772169313643</v>
      </c>
      <c r="J10" s="2">
        <f t="shared" si="4"/>
        <v>0.5263424334313351</v>
      </c>
      <c r="K10" s="2">
        <f t="shared" si="4"/>
        <v>0.40542592845386627</v>
      </c>
      <c r="L10" s="4">
        <f>10*(SUM(B10:K10))*60</f>
        <v>1509.0398385427998</v>
      </c>
      <c r="M10" t="s">
        <v>27</v>
      </c>
    </row>
    <row r="11" spans="2:11" ht="12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t="s">
        <v>15</v>
      </c>
      <c r="B12">
        <v>38</v>
      </c>
      <c r="C12">
        <v>38</v>
      </c>
      <c r="D12">
        <v>30</v>
      </c>
      <c r="E12">
        <v>24</v>
      </c>
      <c r="F12">
        <v>16</v>
      </c>
      <c r="G12">
        <v>10</v>
      </c>
      <c r="H12">
        <v>5</v>
      </c>
      <c r="I12">
        <v>2</v>
      </c>
      <c r="J12">
        <v>1</v>
      </c>
      <c r="K12">
        <v>0.1</v>
      </c>
    </row>
    <row r="13" spans="1:11" ht="15">
      <c r="A13" t="s">
        <v>30</v>
      </c>
      <c r="B13" s="6">
        <f>LN(10)*12*2.54*B12/(1000*70.906)</f>
        <v>0.037612418668510755</v>
      </c>
      <c r="C13" s="6">
        <f aca="true" t="shared" si="5" ref="C13:K13">LN(10)*12*2.54*C12/(1000*70.906)</f>
        <v>0.037612418668510755</v>
      </c>
      <c r="D13" s="6">
        <f t="shared" si="5"/>
        <v>0.02969401473829797</v>
      </c>
      <c r="E13" s="6">
        <f t="shared" si="5"/>
        <v>0.023755211790638376</v>
      </c>
      <c r="F13" s="6">
        <f t="shared" si="5"/>
        <v>0.015836807860425583</v>
      </c>
      <c r="G13" s="6">
        <f t="shared" si="5"/>
        <v>0.009898004912765988</v>
      </c>
      <c r="H13" s="6">
        <f t="shared" si="5"/>
        <v>0.004949002456382994</v>
      </c>
      <c r="I13" s="6">
        <f t="shared" si="5"/>
        <v>0.001979600982553198</v>
      </c>
      <c r="J13" s="6">
        <f t="shared" si="5"/>
        <v>0.000989800491276599</v>
      </c>
      <c r="K13" s="6">
        <f t="shared" si="5"/>
        <v>9.89800491276599E-05</v>
      </c>
    </row>
    <row r="14" spans="1:11" ht="12.75">
      <c r="A14" t="s">
        <v>24</v>
      </c>
      <c r="B14" s="4">
        <f>-LN(0.5)/(B13*6)</f>
        <v>3.071446457923264</v>
      </c>
      <c r="C14" s="4">
        <f aca="true" t="shared" si="6" ref="C14:K14">-LN(0.5)/(C13*6)</f>
        <v>3.071446457923264</v>
      </c>
      <c r="D14" s="4">
        <f t="shared" si="6"/>
        <v>3.8904988467028008</v>
      </c>
      <c r="E14" s="4">
        <f t="shared" si="6"/>
        <v>4.863123558378501</v>
      </c>
      <c r="F14" s="4">
        <f t="shared" si="6"/>
        <v>7.294685337567752</v>
      </c>
      <c r="G14" s="4">
        <f t="shared" si="6"/>
        <v>11.671496540108405</v>
      </c>
      <c r="H14" s="4">
        <f t="shared" si="6"/>
        <v>23.34299308021681</v>
      </c>
      <c r="I14" s="4">
        <f t="shared" si="6"/>
        <v>58.357482700542015</v>
      </c>
      <c r="J14" s="4">
        <f t="shared" si="6"/>
        <v>116.71496540108403</v>
      </c>
      <c r="K14" s="4">
        <f t="shared" si="6"/>
        <v>1167.14965401084</v>
      </c>
    </row>
    <row r="16" spans="1:11" ht="15">
      <c r="A16" t="s">
        <v>16</v>
      </c>
      <c r="B16">
        <v>365</v>
      </c>
      <c r="C16">
        <v>360</v>
      </c>
      <c r="D16">
        <v>300</v>
      </c>
      <c r="E16">
        <v>190</v>
      </c>
      <c r="F16">
        <v>100</v>
      </c>
      <c r="G16">
        <v>40</v>
      </c>
      <c r="H16">
        <v>30</v>
      </c>
      <c r="I16">
        <v>15</v>
      </c>
      <c r="J16">
        <v>5</v>
      </c>
      <c r="K16">
        <v>1</v>
      </c>
    </row>
    <row r="17" spans="1:11" ht="15">
      <c r="A17" t="s">
        <v>20</v>
      </c>
      <c r="B17" s="6">
        <f>LN(10)*12*2.54*B16/(1000*70.906)</f>
        <v>0.3612771793159586</v>
      </c>
      <c r="C17" s="6">
        <f aca="true" t="shared" si="7" ref="C17:K17">LN(10)*12*2.54*C16/(1000*70.906)</f>
        <v>0.3563281768595756</v>
      </c>
      <c r="D17" s="6">
        <f t="shared" si="7"/>
        <v>0.29694014738297964</v>
      </c>
      <c r="E17" s="6">
        <f t="shared" si="7"/>
        <v>0.18806209334255378</v>
      </c>
      <c r="F17" s="6">
        <f t="shared" si="7"/>
        <v>0.09898004912765988</v>
      </c>
      <c r="G17" s="6">
        <f t="shared" si="7"/>
        <v>0.03959201965106395</v>
      </c>
      <c r="H17" s="6">
        <f t="shared" si="7"/>
        <v>0.02969401473829797</v>
      </c>
      <c r="I17" s="6">
        <f t="shared" si="7"/>
        <v>0.014847007369148985</v>
      </c>
      <c r="J17" s="6">
        <f t="shared" si="7"/>
        <v>0.004949002456382994</v>
      </c>
      <c r="K17" s="6">
        <f t="shared" si="7"/>
        <v>0.000989800491276599</v>
      </c>
    </row>
    <row r="18" spans="1:11" ht="12.75">
      <c r="A18" t="s">
        <v>24</v>
      </c>
      <c r="B18" s="4">
        <f>-LN(0.5)/(B17*6)</f>
        <v>0.31976702849612065</v>
      </c>
      <c r="C18" s="4">
        <f aca="true" t="shared" si="8" ref="C18:K18">-LN(0.5)/(C17*6)</f>
        <v>0.32420823722523345</v>
      </c>
      <c r="D18" s="4">
        <f t="shared" si="8"/>
        <v>0.3890498846702801</v>
      </c>
      <c r="E18" s="4">
        <f t="shared" si="8"/>
        <v>0.6142892915846528</v>
      </c>
      <c r="F18" s="4">
        <f t="shared" si="8"/>
        <v>1.1671496540108404</v>
      </c>
      <c r="G18" s="4">
        <f t="shared" si="8"/>
        <v>2.9178741350271014</v>
      </c>
      <c r="H18" s="4">
        <f t="shared" si="8"/>
        <v>3.8904988467028008</v>
      </c>
      <c r="I18" s="4">
        <f t="shared" si="8"/>
        <v>7.7809976934056015</v>
      </c>
      <c r="J18" s="4">
        <f t="shared" si="8"/>
        <v>23.34299308021681</v>
      </c>
      <c r="K18" s="4">
        <f t="shared" si="8"/>
        <v>116.71496540108403</v>
      </c>
    </row>
    <row r="19" spans="2:11" ht="12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t="s">
        <v>14</v>
      </c>
      <c r="B20" s="2">
        <v>0.0003</v>
      </c>
      <c r="C20" s="2">
        <v>0.00025</v>
      </c>
      <c r="D20" s="2">
        <v>0.00022</v>
      </c>
      <c r="E20" s="2">
        <v>0.0002</v>
      </c>
      <c r="F20" s="2">
        <v>0.00015</v>
      </c>
      <c r="G20" s="2">
        <v>0.0001</v>
      </c>
      <c r="H20" s="2">
        <v>9E-05</v>
      </c>
      <c r="I20" s="2">
        <v>8.5E-05</v>
      </c>
      <c r="J20" s="2">
        <v>8E-05</v>
      </c>
      <c r="K20" s="2">
        <v>7.5E-05</v>
      </c>
    </row>
    <row r="21" spans="1:11" ht="15">
      <c r="A21" t="s">
        <v>25</v>
      </c>
      <c r="B21" s="2">
        <f>B20*2.54*12</f>
        <v>0.009144</v>
      </c>
      <c r="C21" s="2">
        <f aca="true" t="shared" si="9" ref="C21:K21">C20*2.54*12</f>
        <v>0.00762</v>
      </c>
      <c r="D21" s="2">
        <f t="shared" si="9"/>
        <v>0.006705600000000001</v>
      </c>
      <c r="E21" s="2">
        <f t="shared" si="9"/>
        <v>0.006096</v>
      </c>
      <c r="F21" s="2">
        <f t="shared" si="9"/>
        <v>0.004572</v>
      </c>
      <c r="G21" s="2">
        <f t="shared" si="9"/>
        <v>0.003048</v>
      </c>
      <c r="H21" s="2">
        <f t="shared" si="9"/>
        <v>0.0027432000000000003</v>
      </c>
      <c r="I21" s="2">
        <f t="shared" si="9"/>
        <v>0.0025908000000000003</v>
      </c>
      <c r="J21" s="2">
        <f t="shared" si="9"/>
        <v>0.0024384000000000003</v>
      </c>
      <c r="K21" s="2">
        <f t="shared" si="9"/>
        <v>0.002286</v>
      </c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t="s">
        <v>7</v>
      </c>
      <c r="B23" s="4">
        <f>EXP(-((B$13+B$17)*3)*4.5)</f>
        <v>0.004584796432735442</v>
      </c>
      <c r="C23" s="4">
        <f aca="true" t="shared" si="10" ref="C23:K23">EXP(-((C$13+C$17)*3)*4.5)</f>
        <v>0.004901578221865412</v>
      </c>
      <c r="D23" s="4">
        <f t="shared" si="10"/>
        <v>0.01216051333072626</v>
      </c>
      <c r="E23" s="4">
        <f t="shared" si="10"/>
        <v>0.057295475539337094</v>
      </c>
      <c r="F23" s="4">
        <f t="shared" si="10"/>
        <v>0.21224212237102866</v>
      </c>
      <c r="G23" s="4">
        <f t="shared" si="10"/>
        <v>0.5126738881263279</v>
      </c>
      <c r="H23" s="4">
        <f t="shared" si="10"/>
        <v>0.6264534982082917</v>
      </c>
      <c r="I23" s="4">
        <f t="shared" si="10"/>
        <v>0.7967939124423858</v>
      </c>
      <c r="J23" s="4">
        <f t="shared" si="10"/>
        <v>0.9229558859792978</v>
      </c>
      <c r="K23" s="4">
        <f t="shared" si="10"/>
        <v>0.9854089588805205</v>
      </c>
    </row>
    <row r="24" spans="1:15" ht="12.75">
      <c r="A24" t="s">
        <v>21</v>
      </c>
      <c r="B24" s="2">
        <f aca="true" t="shared" si="11" ref="B24:K24">(1-B23)*B$9</f>
        <v>2.2454465127160794E-08</v>
      </c>
      <c r="C24" s="2">
        <f t="shared" si="11"/>
        <v>1.5480909792343066E-05</v>
      </c>
      <c r="D24" s="2">
        <f t="shared" si="11"/>
        <v>0.0002382037108493099</v>
      </c>
      <c r="E24" s="2">
        <f t="shared" si="11"/>
        <v>0.001173264745244508</v>
      </c>
      <c r="F24" s="2">
        <f t="shared" si="11"/>
        <v>0.0016851008418329637</v>
      </c>
      <c r="G24" s="2">
        <f t="shared" si="11"/>
        <v>0.0011599561069295951</v>
      </c>
      <c r="H24" s="2">
        <f t="shared" si="11"/>
        <v>0.001016981762719663</v>
      </c>
      <c r="I24" s="2">
        <f t="shared" si="11"/>
        <v>0.000569035893877078</v>
      </c>
      <c r="J24" s="2">
        <f t="shared" si="11"/>
        <v>0.00029565169477411527</v>
      </c>
      <c r="K24" s="2">
        <f t="shared" si="11"/>
        <v>4.312909297880957E-05</v>
      </c>
      <c r="L24" s="4">
        <f>10*(SUM(B24:K24))*60</f>
        <v>3.718096328078108</v>
      </c>
      <c r="M24" t="s">
        <v>27</v>
      </c>
      <c r="N24" s="8">
        <f>-LN(0.5)/(L24/6)/24</f>
        <v>0.04660632212010458</v>
      </c>
      <c r="O24" t="s">
        <v>35</v>
      </c>
    </row>
    <row r="25" spans="1:14" ht="15.75">
      <c r="A25" t="s">
        <v>9</v>
      </c>
      <c r="B25" s="4">
        <f aca="true" t="shared" si="12" ref="B25:K25">EXP(-((B$13+B$17)*1.5)*(1/(12*2.54)))</f>
        <v>0.9805610279682904</v>
      </c>
      <c r="C25" s="4">
        <f t="shared" si="12"/>
        <v>0.9807998758984849</v>
      </c>
      <c r="D25" s="4">
        <f t="shared" si="12"/>
        <v>0.9840539897013072</v>
      </c>
      <c r="E25" s="4">
        <f t="shared" si="12"/>
        <v>0.9896300624530079</v>
      </c>
      <c r="F25" s="4">
        <f t="shared" si="12"/>
        <v>0.9943654978125067</v>
      </c>
      <c r="G25" s="4">
        <f t="shared" si="12"/>
        <v>0.9975674307984741</v>
      </c>
      <c r="H25" s="4">
        <f t="shared" si="12"/>
        <v>0.9982965795768094</v>
      </c>
      <c r="I25" s="4">
        <f t="shared" si="12"/>
        <v>0.9991722616448812</v>
      </c>
      <c r="J25" s="4">
        <f t="shared" si="12"/>
        <v>0.9997077787803508</v>
      </c>
      <c r="K25" s="4">
        <f t="shared" si="12"/>
        <v>0.9999464197159667</v>
      </c>
      <c r="N25" s="8"/>
    </row>
    <row r="26" spans="1:15" ht="12.75">
      <c r="A26" t="s">
        <v>8</v>
      </c>
      <c r="B26" s="2">
        <f>(1-B25)*B$10</f>
        <v>6.014495664215628E-08</v>
      </c>
      <c r="C26" s="2">
        <f aca="true" t="shared" si="13" ref="C26:K26">(1-C25)*C$10</f>
        <v>4.096962179097999E-05</v>
      </c>
      <c r="D26" s="2">
        <f t="shared" si="13"/>
        <v>0.0005274018603814624</v>
      </c>
      <c r="E26" s="2">
        <f t="shared" si="13"/>
        <v>0.0017702069717885835</v>
      </c>
      <c r="F26" s="2">
        <f t="shared" si="13"/>
        <v>0.001653164874219596</v>
      </c>
      <c r="G26" s="2">
        <f t="shared" si="13"/>
        <v>0.0007941719681037297</v>
      </c>
      <c r="H26" s="2">
        <f t="shared" si="13"/>
        <v>0.0006360889008335921</v>
      </c>
      <c r="I26" s="2">
        <f t="shared" si="13"/>
        <v>0.0003179241389756217</v>
      </c>
      <c r="J26" s="2">
        <f t="shared" si="13"/>
        <v>0.0001538084278504456</v>
      </c>
      <c r="K26" s="2">
        <f t="shared" si="13"/>
        <v>2.1722836401042755E-05</v>
      </c>
      <c r="L26" s="4">
        <f>10*(SUM(B26:K26))*60</f>
        <v>3.5493118471810177</v>
      </c>
      <c r="M26" t="s">
        <v>27</v>
      </c>
      <c r="N26" s="8">
        <f>-LN(0.5)/(L26/3)/24</f>
        <v>0.02441132289877776</v>
      </c>
      <c r="O26" t="s">
        <v>35</v>
      </c>
    </row>
    <row r="27" spans="1:14" ht="15">
      <c r="A27" t="s">
        <v>33</v>
      </c>
      <c r="B27" s="4">
        <f>EXP(-(B$13*3)*(1/(12*2.54)))</f>
        <v>0.9963048342783739</v>
      </c>
      <c r="C27" s="4">
        <f aca="true" t="shared" si="14" ref="C27:K27">EXP(-(C$13*3)*(1/(12*2.54)))</f>
        <v>0.9963048342783739</v>
      </c>
      <c r="D27" s="4">
        <f t="shared" si="14"/>
        <v>0.9970816275064472</v>
      </c>
      <c r="E27" s="4">
        <f t="shared" si="14"/>
        <v>0.9976646198566624</v>
      </c>
      <c r="F27" s="4">
        <f t="shared" si="14"/>
        <v>0.9984424732745416</v>
      </c>
      <c r="G27" s="4">
        <f t="shared" si="14"/>
        <v>0.9990262613095341</v>
      </c>
      <c r="H27" s="4">
        <f t="shared" si="14"/>
        <v>0.9995130120761481</v>
      </c>
      <c r="I27" s="4">
        <f t="shared" si="14"/>
        <v>0.9998051763641967</v>
      </c>
      <c r="J27" s="4">
        <f t="shared" si="14"/>
        <v>0.999902583437105</v>
      </c>
      <c r="K27" s="4">
        <f t="shared" si="14"/>
        <v>0.9999902579166348</v>
      </c>
      <c r="N27" s="8"/>
    </row>
    <row r="28" spans="1:15" ht="12.75">
      <c r="A28" t="s">
        <v>8</v>
      </c>
      <c r="B28" s="2">
        <f aca="true" t="shared" si="15" ref="B28:K28">(1-B27)*B$10</f>
        <v>1.1432990476566742E-08</v>
      </c>
      <c r="C28" s="2">
        <f t="shared" si="15"/>
        <v>7.88482101832189E-06</v>
      </c>
      <c r="D28" s="2">
        <f t="shared" si="15"/>
        <v>9.652289529199575E-05</v>
      </c>
      <c r="E28" s="2">
        <f t="shared" si="15"/>
        <v>0.0003986625949075176</v>
      </c>
      <c r="F28" s="2">
        <f t="shared" si="15"/>
        <v>0.000456978875418912</v>
      </c>
      <c r="G28" s="2">
        <f t="shared" si="15"/>
        <v>0.00031790091387368265</v>
      </c>
      <c r="H28" s="2">
        <f t="shared" si="15"/>
        <v>0.00018185035765979425</v>
      </c>
      <c r="I28" s="2">
        <f t="shared" si="15"/>
        <v>7.48293664076452E-05</v>
      </c>
      <c r="J28" s="2">
        <f t="shared" si="15"/>
        <v>5.127447077065506E-05</v>
      </c>
      <c r="K28" s="2">
        <f t="shared" si="15"/>
        <v>3.949693193426748E-06</v>
      </c>
      <c r="L28" s="4">
        <f>10*(SUM(B28:K28))*60</f>
        <v>0.9539192529194567</v>
      </c>
      <c r="M28" t="s">
        <v>27</v>
      </c>
      <c r="N28" s="8">
        <f>-LN(0.5)/(L28/3)/24</f>
        <v>0.09082885926122387</v>
      </c>
      <c r="O28" t="s">
        <v>35</v>
      </c>
    </row>
    <row r="29" spans="1:14" ht="15.75">
      <c r="A29" t="s">
        <v>34</v>
      </c>
      <c r="B29" s="4">
        <f>EXP(-(B$17*3)*(1/(12*2.54)))</f>
        <v>0.9650660084035898</v>
      </c>
      <c r="C29" s="4">
        <f aca="true" t="shared" si="16" ref="C29:K29">EXP(-(C$17*3)*(1/(12*2.54)))</f>
        <v>0.9655362128793038</v>
      </c>
      <c r="D29" s="4">
        <f t="shared" si="16"/>
        <v>0.9711965679969357</v>
      </c>
      <c r="E29" s="4">
        <f t="shared" si="16"/>
        <v>0.9816602102733212</v>
      </c>
      <c r="F29" s="4">
        <f t="shared" si="16"/>
        <v>0.9903051700085621</v>
      </c>
      <c r="G29" s="4">
        <f t="shared" si="16"/>
        <v>0.9961107305481914</v>
      </c>
      <c r="H29" s="4">
        <f t="shared" si="16"/>
        <v>0.9970816275064472</v>
      </c>
      <c r="I29" s="4">
        <f t="shared" si="16"/>
        <v>0.9985397475846653</v>
      </c>
      <c r="J29" s="4">
        <f t="shared" si="16"/>
        <v>0.9995130120761481</v>
      </c>
      <c r="K29" s="4">
        <f t="shared" si="16"/>
        <v>0.999902583437105</v>
      </c>
      <c r="N29" s="8"/>
    </row>
    <row r="30" spans="1:15" ht="12.75">
      <c r="A30" t="s">
        <v>8</v>
      </c>
      <c r="B30" s="2">
        <f aca="true" t="shared" si="17" ref="B30:K30">(1-B29)*B$10</f>
        <v>1.0808716667096074E-07</v>
      </c>
      <c r="C30" s="2">
        <f t="shared" si="17"/>
        <v>7.353954153391923E-05</v>
      </c>
      <c r="D30" s="2">
        <f t="shared" si="17"/>
        <v>0.0009526510606250136</v>
      </c>
      <c r="E30" s="2">
        <f t="shared" si="17"/>
        <v>0.003130705801089448</v>
      </c>
      <c r="F30" s="2">
        <f t="shared" si="17"/>
        <v>0.0028444664444271088</v>
      </c>
      <c r="G30" s="2">
        <f t="shared" si="17"/>
        <v>0.0012697475463764852</v>
      </c>
      <c r="H30" s="2">
        <f t="shared" si="17"/>
        <v>0.001089774624264468</v>
      </c>
      <c r="I30" s="2">
        <f t="shared" si="17"/>
        <v>0.0005608650233027856</v>
      </c>
      <c r="J30" s="2">
        <f t="shared" si="17"/>
        <v>0.0002563224088919005</v>
      </c>
      <c r="K30" s="2">
        <f t="shared" si="17"/>
        <v>3.949520045847755E-05</v>
      </c>
      <c r="L30" s="4">
        <f>10*(SUM(B30:K30))*60</f>
        <v>6.130605442881766</v>
      </c>
      <c r="M30" t="s">
        <v>27</v>
      </c>
      <c r="N30" s="8">
        <f>-LN(0.5)/(L30/3)/24</f>
        <v>0.014132926735742658</v>
      </c>
      <c r="O30" t="s">
        <v>35</v>
      </c>
    </row>
    <row r="31" spans="1:14" ht="15.75">
      <c r="A31" t="s">
        <v>26</v>
      </c>
      <c r="B31" s="4">
        <f aca="true" t="shared" si="18" ref="B31:K31">EXP(-((B$13+B$17)*1.5)*4.5)</f>
        <v>0.06771112488162814</v>
      </c>
      <c r="C31" s="4">
        <f t="shared" si="18"/>
        <v>0.07001127210575031</v>
      </c>
      <c r="D31" s="4">
        <f t="shared" si="18"/>
        <v>0.11027471754997271</v>
      </c>
      <c r="E31" s="4">
        <f t="shared" si="18"/>
        <v>0.23936473328236366</v>
      </c>
      <c r="F31" s="4">
        <f t="shared" si="18"/>
        <v>0.4606974303933425</v>
      </c>
      <c r="G31" s="4">
        <f t="shared" si="18"/>
        <v>0.716012491599363</v>
      </c>
      <c r="H31" s="4">
        <f t="shared" si="18"/>
        <v>0.7914881541806496</v>
      </c>
      <c r="I31" s="4">
        <f t="shared" si="18"/>
        <v>0.8926331342955995</v>
      </c>
      <c r="J31" s="4">
        <f t="shared" si="18"/>
        <v>0.9607059310628293</v>
      </c>
      <c r="K31" s="4">
        <f t="shared" si="18"/>
        <v>0.9926776711906642</v>
      </c>
      <c r="N31" s="8"/>
    </row>
    <row r="32" spans="1:15" ht="12.75">
      <c r="A32" t="s">
        <v>21</v>
      </c>
      <c r="B32" s="2">
        <f>(1-B31)*B$9</f>
        <v>2.1030468451520733E-08</v>
      </c>
      <c r="C32" s="2">
        <f aca="true" t="shared" si="19" ref="C32:K32">(1-C31)*C$9</f>
        <v>1.4467987577249627E-05</v>
      </c>
      <c r="D32" s="2">
        <f t="shared" si="19"/>
        <v>0.000214544839294324</v>
      </c>
      <c r="E32" s="2">
        <f t="shared" si="19"/>
        <v>0.0009466662345129068</v>
      </c>
      <c r="F32" s="2">
        <f t="shared" si="19"/>
        <v>0.0011536275800657725</v>
      </c>
      <c r="G32" s="2">
        <f t="shared" si="19"/>
        <v>0.0006759601766351301</v>
      </c>
      <c r="H32" s="2">
        <f t="shared" si="19"/>
        <v>0.0005676742881868437</v>
      </c>
      <c r="I32" s="2">
        <f t="shared" si="19"/>
        <v>0.0003006583175396334</v>
      </c>
      <c r="J32" s="2">
        <f t="shared" si="19"/>
        <v>0.00015078839212459214</v>
      </c>
      <c r="K32" s="2">
        <f t="shared" si="19"/>
        <v>2.1643787955449575E-05</v>
      </c>
      <c r="L32" s="4">
        <f>10*(SUM(B32:K32))*60</f>
        <v>2.4276315806162123</v>
      </c>
      <c r="M32" t="s">
        <v>27</v>
      </c>
      <c r="N32" s="8">
        <f>-LN(0.5)/(L32/3)/24</f>
        <v>0.03569050520754893</v>
      </c>
      <c r="O32" t="s">
        <v>35</v>
      </c>
    </row>
    <row r="33" spans="1:14" ht="15.75">
      <c r="A33" t="s">
        <v>10</v>
      </c>
      <c r="B33" s="4">
        <f>EXP(-((B$13+B$17)*1.5)*10)</f>
        <v>0.0025203840966521477</v>
      </c>
      <c r="C33" s="4">
        <f aca="true" t="shared" si="20" ref="C33:K33">EXP(-((C$13+C$17)*1.5)*10)</f>
        <v>0.0027146047048920994</v>
      </c>
      <c r="D33" s="4">
        <f t="shared" si="20"/>
        <v>0.007450214673140575</v>
      </c>
      <c r="E33" s="4">
        <f t="shared" si="20"/>
        <v>0.04169977370219915</v>
      </c>
      <c r="F33" s="4">
        <f t="shared" si="20"/>
        <v>0.17866319194791375</v>
      </c>
      <c r="G33" s="4">
        <f t="shared" si="20"/>
        <v>0.4759938388354698</v>
      </c>
      <c r="H33" s="4">
        <f t="shared" si="20"/>
        <v>0.5947314868380909</v>
      </c>
      <c r="I33" s="4">
        <f t="shared" si="20"/>
        <v>0.7769345819483989</v>
      </c>
      <c r="J33" s="4">
        <f t="shared" si="20"/>
        <v>0.9147705188665634</v>
      </c>
      <c r="K33" s="4">
        <f t="shared" si="20"/>
        <v>0.9838009311817342</v>
      </c>
      <c r="N33" s="8"/>
    </row>
    <row r="34" spans="1:15" ht="12.75">
      <c r="A34" t="s">
        <v>11</v>
      </c>
      <c r="B34" s="2">
        <f>(1-B33)*B$8</f>
        <v>1.0125465259662245E-08</v>
      </c>
      <c r="C34" s="2">
        <f aca="true" t="shared" si="21" ref="C34:K34">(1-C33)*C$8</f>
        <v>6.981719804548282E-06</v>
      </c>
      <c r="D34" s="2">
        <f t="shared" si="21"/>
        <v>0.00010770279014571815</v>
      </c>
      <c r="E34" s="2">
        <f t="shared" si="21"/>
        <v>0.0005367036316954497</v>
      </c>
      <c r="F34" s="2">
        <f t="shared" si="21"/>
        <v>0.0007906184421528293</v>
      </c>
      <c r="G34" s="2">
        <f t="shared" si="21"/>
        <v>0.0005612686440473203</v>
      </c>
      <c r="H34" s="2">
        <f t="shared" si="21"/>
        <v>0.0004965052763470846</v>
      </c>
      <c r="I34" s="2">
        <f t="shared" si="21"/>
        <v>0.0002810914967452969</v>
      </c>
      <c r="J34" s="2">
        <f t="shared" si="21"/>
        <v>0.0001471781249995509</v>
      </c>
      <c r="K34" s="2">
        <f t="shared" si="21"/>
        <v>2.154698988101541E-05</v>
      </c>
      <c r="L34" s="4">
        <f>10*(SUM(B34:K34))*60</f>
        <v>1.7697643447704443</v>
      </c>
      <c r="M34" t="s">
        <v>27</v>
      </c>
      <c r="N34" s="8">
        <f>-LN(0.5)/(L34/3)/24</f>
        <v>0.048957590215906205</v>
      </c>
      <c r="O34" t="s">
        <v>35</v>
      </c>
    </row>
    <row r="35" spans="1:14" ht="15.75">
      <c r="A35" t="s">
        <v>32</v>
      </c>
      <c r="B35" s="4">
        <f>EXP(-((B$13+B$17)*0.05)*4.5)</f>
        <v>0.9141595507793022</v>
      </c>
      <c r="C35" s="4">
        <f aca="true" t="shared" si="22" ref="C35:K35">EXP(-((C$13+C$17)*0.05)*4.5)</f>
        <v>0.9151780577598607</v>
      </c>
      <c r="D35" s="4">
        <f t="shared" si="22"/>
        <v>0.9291429410746733</v>
      </c>
      <c r="E35" s="4">
        <f t="shared" si="22"/>
        <v>0.9534589625164909</v>
      </c>
      <c r="F35" s="4">
        <f t="shared" si="22"/>
        <v>0.9744970445527728</v>
      </c>
      <c r="G35" s="4">
        <f t="shared" si="22"/>
        <v>0.9889265119528199</v>
      </c>
      <c r="H35" s="4">
        <f t="shared" si="22"/>
        <v>0.9922356208638586</v>
      </c>
      <c r="I35" s="4">
        <f t="shared" si="22"/>
        <v>0.9962211709332144</v>
      </c>
      <c r="J35" s="4">
        <f t="shared" si="22"/>
        <v>0.9986646616954593</v>
      </c>
      <c r="K35" s="4">
        <f t="shared" si="22"/>
        <v>0.9997550543824865</v>
      </c>
      <c r="N35" s="8"/>
    </row>
    <row r="36" spans="1:17" ht="12.75">
      <c r="A36" t="s">
        <v>21</v>
      </c>
      <c r="B36" s="2">
        <f aca="true" t="shared" si="23" ref="B36:K36">(1-B35)*B$9</f>
        <v>1.9363792783337025E-09</v>
      </c>
      <c r="C36" s="2">
        <f t="shared" si="23"/>
        <v>1.3195889044668803E-06</v>
      </c>
      <c r="D36" s="2">
        <f t="shared" si="23"/>
        <v>1.708619123213069E-05</v>
      </c>
      <c r="E36" s="2">
        <f t="shared" si="23"/>
        <v>5.7923725907377876E-05</v>
      </c>
      <c r="F36" s="2">
        <f t="shared" si="23"/>
        <v>5.4553629882698765E-05</v>
      </c>
      <c r="G36" s="2">
        <f t="shared" si="23"/>
        <v>2.635762741288969E-05</v>
      </c>
      <c r="H36" s="2">
        <f t="shared" si="23"/>
        <v>2.1138551538891943E-05</v>
      </c>
      <c r="I36" s="2">
        <f t="shared" si="23"/>
        <v>1.0581815740226657E-05</v>
      </c>
      <c r="J36" s="2">
        <f t="shared" si="23"/>
        <v>5.1242724749636915E-06</v>
      </c>
      <c r="K36" s="2">
        <f t="shared" si="23"/>
        <v>7.240252581009859E-07</v>
      </c>
      <c r="L36" s="4">
        <f>10*(SUM(B36:K36))*60</f>
        <v>0.11688681883861532</v>
      </c>
      <c r="M36" t="s">
        <v>27</v>
      </c>
      <c r="N36" s="8">
        <f>-LN(0.5)/(L36/3)/24</f>
        <v>0.7412589240675717</v>
      </c>
      <c r="O36" t="s">
        <v>35</v>
      </c>
      <c r="P36" s="8">
        <f>-LN(0.5)/(L36/0.1)/24</f>
        <v>0.02470863080225239</v>
      </c>
      <c r="Q36" t="s">
        <v>36</v>
      </c>
    </row>
    <row r="37" spans="1:11" ht="15.75">
      <c r="A37" t="s">
        <v>5</v>
      </c>
      <c r="B37" s="4">
        <f>EXP(-((B$13+B$17)*1.5+B$21)*4.5)</f>
        <v>0.06498149211037514</v>
      </c>
      <c r="C37" s="4">
        <f aca="true" t="shared" si="24" ref="C37:K37">EXP(-((C$13+C$17)*1.5+C$21)*4.5)</f>
        <v>0.06765127890494725</v>
      </c>
      <c r="D37" s="4">
        <f t="shared" si="24"/>
        <v>0.10699685961765701</v>
      </c>
      <c r="E37" s="4">
        <f t="shared" si="24"/>
        <v>0.23288772473342942</v>
      </c>
      <c r="F37" s="4">
        <f t="shared" si="24"/>
        <v>0.4513158803889394</v>
      </c>
      <c r="G37" s="4">
        <f t="shared" si="24"/>
        <v>0.7062587086216083</v>
      </c>
      <c r="H37" s="4">
        <f t="shared" si="24"/>
        <v>0.7817777655795516</v>
      </c>
      <c r="I37" s="4">
        <f t="shared" si="24"/>
        <v>0.8822867112328273</v>
      </c>
      <c r="J37" s="4">
        <f t="shared" si="24"/>
        <v>0.950221921682919</v>
      </c>
      <c r="K37" s="4">
        <f t="shared" si="24"/>
        <v>0.9825183400968227</v>
      </c>
    </row>
    <row r="38" spans="1:11" ht="15.75">
      <c r="A38" t="s">
        <v>6</v>
      </c>
      <c r="B38" s="4">
        <f aca="true" t="shared" si="25" ref="B38:K38">EXP(-((B$13+B$17)*0.05+B$21)*4.5)</f>
        <v>0.8773071151961778</v>
      </c>
      <c r="C38" s="4">
        <f t="shared" si="25"/>
        <v>0.8843285398340176</v>
      </c>
      <c r="D38" s="4">
        <f t="shared" si="25"/>
        <v>0.9015246562372928</v>
      </c>
      <c r="E38" s="4">
        <f t="shared" si="25"/>
        <v>0.9276591641644404</v>
      </c>
      <c r="F38" s="4">
        <f t="shared" si="25"/>
        <v>0.9546525823320713</v>
      </c>
      <c r="G38" s="4">
        <f t="shared" si="25"/>
        <v>0.9754549947772049</v>
      </c>
      <c r="H38" s="4">
        <f t="shared" si="25"/>
        <v>0.980062357863588</v>
      </c>
      <c r="I38" s="4">
        <f t="shared" si="25"/>
        <v>0.9846740691031898</v>
      </c>
      <c r="J38" s="4">
        <f t="shared" si="25"/>
        <v>0.9877664155807329</v>
      </c>
      <c r="K38" s="4">
        <f t="shared" si="25"/>
        <v>0.9895232914397071</v>
      </c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5"/>
      <c r="B40" s="2"/>
      <c r="C40" s="2"/>
      <c r="D40" s="2"/>
      <c r="E40" s="2"/>
      <c r="F40" s="2"/>
      <c r="G40" s="2"/>
      <c r="H40" s="2"/>
      <c r="I40" s="2"/>
      <c r="J40" s="2"/>
    </row>
    <row r="41" spans="1:11" ht="15">
      <c r="A41" t="s">
        <v>17</v>
      </c>
      <c r="B41">
        <v>20</v>
      </c>
      <c r="C41">
        <v>19</v>
      </c>
      <c r="D41">
        <v>18</v>
      </c>
      <c r="E41">
        <v>17</v>
      </c>
      <c r="F41">
        <v>16</v>
      </c>
      <c r="G41">
        <v>15</v>
      </c>
      <c r="H41">
        <v>14</v>
      </c>
      <c r="I41">
        <v>13</v>
      </c>
      <c r="J41">
        <v>12</v>
      </c>
      <c r="K41">
        <v>11</v>
      </c>
    </row>
    <row r="42" spans="1:11" ht="15">
      <c r="A42" t="s">
        <v>31</v>
      </c>
      <c r="B42" s="6">
        <f>LN(10)*12*2.54*B41/(1000*129.075)</f>
        <v>0.010874730758777226</v>
      </c>
      <c r="C42" s="6">
        <f aca="true" t="shared" si="26" ref="C42:K42">LN(10)*12*2.54*C41/(1000*129.075)</f>
        <v>0.010330994220838366</v>
      </c>
      <c r="D42" s="6">
        <f t="shared" si="26"/>
        <v>0.009787257682899505</v>
      </c>
      <c r="E42" s="6">
        <f t="shared" si="26"/>
        <v>0.009243521144960642</v>
      </c>
      <c r="F42" s="6">
        <f t="shared" si="26"/>
        <v>0.008699784607021782</v>
      </c>
      <c r="G42" s="6">
        <f t="shared" si="26"/>
        <v>0.00815604806908292</v>
      </c>
      <c r="H42" s="6">
        <f t="shared" si="26"/>
        <v>0.007612311531144059</v>
      </c>
      <c r="I42" s="6">
        <f t="shared" si="26"/>
        <v>0.007068574993205197</v>
      </c>
      <c r="J42" s="6">
        <f t="shared" si="26"/>
        <v>0.006524838455266337</v>
      </c>
      <c r="K42" s="6">
        <f t="shared" si="26"/>
        <v>0.005981101917327475</v>
      </c>
    </row>
    <row r="43" spans="1:11" ht="15">
      <c r="A43" t="s">
        <v>28</v>
      </c>
      <c r="B43" s="6">
        <f>B$42*30</f>
        <v>0.32624192276331676</v>
      </c>
      <c r="C43" s="6">
        <f aca="true" t="shared" si="27" ref="C43:K43">C$42*30</f>
        <v>0.309929826625151</v>
      </c>
      <c r="D43" s="6">
        <f t="shared" si="27"/>
        <v>0.29361773048698514</v>
      </c>
      <c r="E43" s="6">
        <f t="shared" si="27"/>
        <v>0.2773056343488193</v>
      </c>
      <c r="F43" s="6">
        <f t="shared" si="27"/>
        <v>0.26099353821065346</v>
      </c>
      <c r="G43" s="6">
        <f t="shared" si="27"/>
        <v>0.24468144207248763</v>
      </c>
      <c r="H43" s="6">
        <f t="shared" si="27"/>
        <v>0.2283693459343218</v>
      </c>
      <c r="I43" s="6">
        <f t="shared" si="27"/>
        <v>0.21205724979615592</v>
      </c>
      <c r="J43" s="6">
        <f t="shared" si="27"/>
        <v>0.1957451536579901</v>
      </c>
      <c r="K43" s="6">
        <f t="shared" si="27"/>
        <v>0.17943305751982425</v>
      </c>
    </row>
    <row r="44" spans="1:11" ht="15">
      <c r="A44" t="s">
        <v>29</v>
      </c>
      <c r="B44" s="6">
        <f>B$42*80</f>
        <v>0.8699784607021781</v>
      </c>
      <c r="C44" s="6">
        <f aca="true" t="shared" si="28" ref="C44:K44">C$42*80</f>
        <v>0.8264795376670693</v>
      </c>
      <c r="D44" s="6">
        <f t="shared" si="28"/>
        <v>0.7829806146319604</v>
      </c>
      <c r="E44" s="6">
        <f t="shared" si="28"/>
        <v>0.7394816915968514</v>
      </c>
      <c r="F44" s="6">
        <f t="shared" si="28"/>
        <v>0.6959827685617426</v>
      </c>
      <c r="G44" s="6">
        <f t="shared" si="28"/>
        <v>0.6524838455266336</v>
      </c>
      <c r="H44" s="6">
        <f t="shared" si="28"/>
        <v>0.6089849224915247</v>
      </c>
      <c r="I44" s="6">
        <f t="shared" si="28"/>
        <v>0.5654859994564158</v>
      </c>
      <c r="J44" s="6">
        <f t="shared" si="28"/>
        <v>0.5219870764213069</v>
      </c>
      <c r="K44" s="6">
        <f t="shared" si="28"/>
        <v>0.478488153386198</v>
      </c>
    </row>
    <row r="46" ht="12.75">
      <c r="A46" s="5" t="s">
        <v>3</v>
      </c>
    </row>
    <row r="47" ht="12.75">
      <c r="A47" t="s">
        <v>4</v>
      </c>
    </row>
    <row r="48" ht="12.75">
      <c r="A48" t="s">
        <v>0</v>
      </c>
    </row>
    <row r="49" ht="12.75">
      <c r="A49" s="5"/>
    </row>
    <row r="50" spans="1:2" ht="12.75">
      <c r="A50" t="s">
        <v>37</v>
      </c>
      <c r="B50">
        <v>0.1</v>
      </c>
    </row>
    <row r="51" spans="1:2" ht="12.75">
      <c r="A51" t="s">
        <v>38</v>
      </c>
      <c r="B51">
        <v>30</v>
      </c>
    </row>
    <row r="52" spans="1:2" ht="12.75">
      <c r="A52" t="s">
        <v>39</v>
      </c>
      <c r="B52">
        <v>6</v>
      </c>
    </row>
    <row r="53" spans="1:2" ht="12.75">
      <c r="A53" t="s">
        <v>1</v>
      </c>
      <c r="B53">
        <f>16*32</f>
        <v>512</v>
      </c>
    </row>
    <row r="54" spans="1:15" ht="12.75">
      <c r="A54" t="s">
        <v>2</v>
      </c>
      <c r="B54" s="2">
        <f>1000*70.906*B$7*((B$13+B$17)*($B$50/2)+B$21)*(1-EXP(-(((B$13+B$17)*($B$50/2)+B$42*$B$51+B$21)*$B$52)))/((B$13+B$17)*($B$50/2)+B$42*$B$51+B$21)/($B$52*12*2.54/1000)</f>
        <v>1.2207323559279443E-09</v>
      </c>
      <c r="C54" s="2">
        <f aca="true" t="shared" si="29" ref="C54:K54">1000*70.906*C$7*((C$13+C$17)*($B$50/2)+C$21)*(1-EXP(-(((C$13+C$17)*($B$50/2)+C$42*$B$51+C$21)*$B$52)))/((C$13+C$17)*($B$50/2)+C$42*$B$51+C$21)/($B$52*12*2.54/1000)</f>
        <v>8.201620729836891E-07</v>
      </c>
      <c r="D54" s="2">
        <f t="shared" si="29"/>
        <v>1.1189293865891593E-05</v>
      </c>
      <c r="E54" s="2">
        <f t="shared" si="29"/>
        <v>4.390187517183324E-05</v>
      </c>
      <c r="F54" s="2">
        <f t="shared" si="29"/>
        <v>4.900922243928665E-05</v>
      </c>
      <c r="G54" s="2">
        <f t="shared" si="29"/>
        <v>3.062143819638189E-05</v>
      </c>
      <c r="H54" s="2">
        <f t="shared" si="29"/>
        <v>2.9539306176455537E-05</v>
      </c>
      <c r="I54" s="2">
        <f t="shared" si="29"/>
        <v>2.4269524610282686E-05</v>
      </c>
      <c r="J54" s="2">
        <f t="shared" si="29"/>
        <v>2.760796467675998E-05</v>
      </c>
      <c r="K54" s="2">
        <f t="shared" si="29"/>
        <v>1.8953065626549852E-05</v>
      </c>
      <c r="L54" s="4">
        <f>10*(SUM(B54:K54))*60</f>
        <v>0.14154784414126864</v>
      </c>
      <c r="M54" t="s">
        <v>27</v>
      </c>
      <c r="N54" s="8">
        <f>-LN(0.5)/(L54/3)/24</f>
        <v>0.6121138622466102</v>
      </c>
      <c r="O54" t="s">
        <v>35</v>
      </c>
    </row>
  </sheetData>
  <sheetProtection/>
  <mergeCells count="1">
    <mergeCell ref="B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Electronics for Imaging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Richard Falk</cp:lastModifiedBy>
  <dcterms:created xsi:type="dcterms:W3CDTF">2007-06-11T10:40:21Z</dcterms:created>
  <dcterms:modified xsi:type="dcterms:W3CDTF">2011-10-24T20:46:15Z</dcterms:modified>
  <cp:category/>
  <cp:version/>
  <cp:contentType/>
  <cp:contentStatus/>
</cp:coreProperties>
</file>